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ata\Paul Phillips\CBERA\"/>
    </mc:Choice>
  </mc:AlternateContent>
  <bookViews>
    <workbookView xWindow="4980" yWindow="252" windowWidth="14112" windowHeight="11688"/>
  </bookViews>
  <sheets>
    <sheet name="Sheet1" sheetId="1" r:id="rId1"/>
    <sheet name="2023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7" i="1"/>
  <c r="I8" i="1"/>
  <c r="I7" i="1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" i="2"/>
  <c r="H21" i="1"/>
  <c r="J21" i="1"/>
  <c r="C24" i="1" l="1"/>
  <c r="I24" i="1" s="1"/>
  <c r="E23" i="1"/>
  <c r="C23" i="1"/>
  <c r="I23" i="1" s="1"/>
  <c r="C6" i="1"/>
  <c r="C2" i="1"/>
  <c r="I2" i="1" s="1"/>
  <c r="J2" i="1"/>
  <c r="E2" i="1"/>
  <c r="F18" i="1"/>
  <c r="E18" i="1"/>
  <c r="H18" i="1" s="1"/>
  <c r="J18" i="1" s="1"/>
  <c r="F17" i="1"/>
  <c r="E17" i="1"/>
  <c r="B22" i="1"/>
  <c r="J3" i="1"/>
  <c r="J4" i="1"/>
  <c r="J10" i="1"/>
  <c r="H6" i="1"/>
  <c r="E5" i="1"/>
  <c r="J5" i="1" s="1"/>
  <c r="H13" i="1"/>
  <c r="J13" i="1" s="1"/>
  <c r="H15" i="1"/>
  <c r="J15" i="1" s="1"/>
  <c r="H16" i="1"/>
  <c r="J16" i="1" s="1"/>
  <c r="E20" i="1"/>
  <c r="H20" i="1" s="1"/>
  <c r="J20" i="1" s="1"/>
  <c r="E11" i="1"/>
  <c r="H11" i="1" s="1"/>
  <c r="J11" i="1" s="1"/>
  <c r="H17" i="1" l="1"/>
  <c r="J17" i="1" s="1"/>
  <c r="E12" i="1"/>
  <c r="D12" i="1" s="1"/>
  <c r="J12" i="1" s="1"/>
  <c r="H12" i="1" l="1"/>
  <c r="I12" i="1"/>
  <c r="E6" i="1" l="1"/>
  <c r="I6" i="1" l="1"/>
  <c r="J6" i="1"/>
  <c r="E9" i="1"/>
  <c r="J9" i="1" s="1"/>
  <c r="I21" i="1" l="1"/>
  <c r="I20" i="1"/>
  <c r="E19" i="1"/>
  <c r="E14" i="1"/>
  <c r="I13" i="1"/>
  <c r="I15" i="1"/>
  <c r="I16" i="1"/>
  <c r="I17" i="1"/>
  <c r="I18" i="1"/>
  <c r="I19" i="1"/>
  <c r="I5" i="1"/>
  <c r="I9" i="1"/>
  <c r="I10" i="1"/>
  <c r="I3" i="1"/>
  <c r="I4" i="1"/>
  <c r="I14" i="1" l="1"/>
  <c r="H14" i="1"/>
  <c r="J14" i="1" s="1"/>
  <c r="H19" i="1"/>
  <c r="J19" i="1" s="1"/>
  <c r="I11" i="1"/>
</calcChain>
</file>

<file path=xl/sharedStrings.xml><?xml version="1.0" encoding="utf-8"?>
<sst xmlns="http://schemas.openxmlformats.org/spreadsheetml/2006/main" count="68" uniqueCount="51">
  <si>
    <t>HTS8</t>
  </si>
  <si>
    <t>DomProd</t>
  </si>
  <si>
    <t>DomEmpl</t>
  </si>
  <si>
    <t>61046320</t>
  </si>
  <si>
    <t>61091000</t>
  </si>
  <si>
    <t>61099010</t>
  </si>
  <si>
    <t>61102020</t>
  </si>
  <si>
    <t>61103030</t>
  </si>
  <si>
    <t>62034390</t>
  </si>
  <si>
    <t>62046390</t>
  </si>
  <si>
    <t>62053020</t>
  </si>
  <si>
    <t>62114310</t>
  </si>
  <si>
    <t>Exports</t>
  </si>
  <si>
    <t>NetDomProd</t>
  </si>
  <si>
    <t>NetDomEmpl</t>
  </si>
  <si>
    <t>61062020</t>
  </si>
  <si>
    <t>Breakouts</t>
  </si>
  <si>
    <t>3</t>
  </si>
  <si>
    <t>2</t>
  </si>
  <si>
    <t>13</t>
  </si>
  <si>
    <t>12</t>
  </si>
  <si>
    <t>Exps22</t>
  </si>
  <si>
    <t>ApparelEmp</t>
  </si>
  <si>
    <t>DomEmpl24</t>
  </si>
  <si>
    <t>ApparelEmpChange</t>
  </si>
  <si>
    <t>ApparelExp</t>
  </si>
  <si>
    <t>NAICSExps24</t>
  </si>
  <si>
    <t>NAICSExp</t>
  </si>
  <si>
    <t>HatEmpl23</t>
  </si>
  <si>
    <t>HatEmpl24</t>
  </si>
  <si>
    <t>Exps23</t>
  </si>
  <si>
    <t>NAICS23</t>
  </si>
  <si>
    <t>NAICS24</t>
  </si>
  <si>
    <t>NAICScode</t>
  </si>
  <si>
    <t>211120 and 211130</t>
  </si>
  <si>
    <t>89235884</t>
  </si>
  <si>
    <t>8058701</t>
  </si>
  <si>
    <t>75332</t>
  </si>
  <si>
    <t>3151 and 3152</t>
  </si>
  <si>
    <t>38834524.42</t>
  </si>
  <si>
    <t>13137999</t>
  </si>
  <si>
    <t>12384026.5</t>
  </si>
  <si>
    <t>414865245</t>
  </si>
  <si>
    <t>95070098</t>
  </si>
  <si>
    <t>377194361</t>
  </si>
  <si>
    <t>239837873</t>
  </si>
  <si>
    <t>88735923</t>
  </si>
  <si>
    <t>56856446</t>
  </si>
  <si>
    <t>1619136.923</t>
  </si>
  <si>
    <t>39638416</t>
  </si>
  <si>
    <t>38584367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</si>
</sst>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Times New Roman"/>
      <family val="1"/>
    </font>
    <font>
      <sz val="10"/>
      <color rgb="FF0F172A"/>
      <name val="Segoe UI"/>
      <family val="2"/>
    </font>
    <font>
      <sz val="11"/>
      <color indexed="8"/>
      <name val="Aptos Narrow"/>
      <family val="2"/>
      <scheme val="minor"/>
    </font>
    <font>
      <sz val="11"/>
      <color rgb="FF000000"/>
      <name val="Calibri"/>
      <family val="2"/>
    </font>
    <font>
      <sz val="11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 applyAlignment="1">
      <alignment horizontal="right"/>
    </xf>
    <xf numFmtId="3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3" fontId="1" fillId="0" borderId="0" xfId="0" applyNumberFormat="1" applyFont="1"/>
    <xf numFmtId="3" fontId="2" fillId="0" borderId="0" xfId="0" applyNumberFormat="1" applyFont="1"/>
    <xf numFmtId="3" fontId="2" fillId="0" borderId="3" xfId="0" applyNumberFormat="1" applyFont="1" applyBorder="1" applyAlignment="1">
      <alignment vertical="center"/>
    </xf>
    <xf numFmtId="2" fontId="0" fillId="0" borderId="0" xfId="0" applyNumberFormat="1"/>
    <xf numFmtId="3" fontId="0" fillId="0" borderId="0" xfId="0" applyNumberFormat="1"/>
    <xf numFmtId="0" fontId="1" fillId="0" borderId="0" xfId="0" applyFont="1"/>
    <xf numFmtId="3" fontId="3" fillId="0" borderId="0" xfId="0" applyNumberFormat="1" applyFont="1"/>
    <xf numFmtId="164" fontId="4" fillId="0" borderId="0" xfId="2" applyNumberFormat="1" applyFont="1"/>
    <xf numFmtId="0" fontId="0" fillId="0" borderId="0" xfId="0" applyBorder="1" applyAlignment="1">
      <alignment horizontal="right"/>
    </xf>
    <xf numFmtId="49" fontId="0" fillId="0" borderId="0" xfId="0" applyNumberFormat="1" applyBorder="1" applyAlignment="1">
      <alignment horizontal="right"/>
    </xf>
    <xf numFmtId="49" fontId="0" fillId="0" borderId="0" xfId="0" applyNumberFormat="1"/>
    <xf numFmtId="0" fontId="5" fillId="0" borderId="0" xfId="0" applyFont="1"/>
    <xf numFmtId="49" fontId="0" fillId="0" borderId="0" xfId="0" applyNumberFormat="1" applyFill="1" applyBorder="1" applyAlignment="1">
      <alignment horizontal="right"/>
    </xf>
    <xf numFmtId="2" fontId="0" fillId="0" borderId="1" xfId="0" applyNumberFormat="1" applyBorder="1" applyAlignment="1">
      <alignment horizontal="center"/>
    </xf>
    <xf numFmtId="3" fontId="6" fillId="0" borderId="0" xfId="0" applyNumberFormat="1" applyFont="1"/>
    <xf numFmtId="11" fontId="0" fillId="0" borderId="0" xfId="0" applyNumberFormat="1" applyBorder="1" applyAlignment="1">
      <alignment horizontal="right"/>
    </xf>
    <xf numFmtId="11" fontId="0" fillId="0" borderId="0" xfId="0" applyNumberFormat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J9" sqref="J9"/>
    </sheetView>
  </sheetViews>
  <sheetFormatPr defaultRowHeight="13.8"/>
  <cols>
    <col min="2" max="2" width="10.8984375" bestFit="1" customWidth="1"/>
    <col min="3" max="3" width="13.796875" bestFit="1" customWidth="1"/>
    <col min="4" max="4" width="10.8984375" bestFit="1" customWidth="1"/>
    <col min="5" max="5" width="13.5" bestFit="1" customWidth="1"/>
    <col min="6" max="8" width="13.5" customWidth="1"/>
    <col min="9" max="9" width="12.19921875" bestFit="1" customWidth="1"/>
  </cols>
  <sheetData>
    <row r="1" spans="1:10">
      <c r="A1" t="s">
        <v>0</v>
      </c>
      <c r="B1" t="s">
        <v>16</v>
      </c>
      <c r="C1" t="s">
        <v>1</v>
      </c>
      <c r="D1" t="s">
        <v>2</v>
      </c>
      <c r="E1" t="s">
        <v>12</v>
      </c>
      <c r="F1" t="s">
        <v>21</v>
      </c>
      <c r="G1" t="s">
        <v>26</v>
      </c>
      <c r="H1" t="s">
        <v>23</v>
      </c>
      <c r="I1" t="s">
        <v>13</v>
      </c>
      <c r="J1" t="s">
        <v>14</v>
      </c>
    </row>
    <row r="2" spans="1:10">
      <c r="A2" s="10">
        <v>20089991</v>
      </c>
      <c r="B2" s="10">
        <v>21</v>
      </c>
      <c r="C2" s="5">
        <f>27392979*1000</f>
        <v>27392979000</v>
      </c>
      <c r="D2" s="5">
        <v>35921</v>
      </c>
      <c r="E2" s="9">
        <f>123980206</f>
        <v>123980206</v>
      </c>
      <c r="F2" s="9"/>
      <c r="G2" s="9">
        <v>2927038106</v>
      </c>
      <c r="H2" s="5">
        <v>64555</v>
      </c>
      <c r="I2">
        <f>C2*E2/G2</f>
        <v>1160281163.5461755</v>
      </c>
      <c r="J2">
        <f>ROUND(D2*E2/G2,0)</f>
        <v>1522</v>
      </c>
    </row>
    <row r="3" spans="1:10">
      <c r="A3" s="1">
        <v>21039080</v>
      </c>
      <c r="B3" s="13"/>
      <c r="C3" s="5">
        <v>15110855000</v>
      </c>
      <c r="D3" s="5">
        <v>25417</v>
      </c>
      <c r="E3">
        <v>0</v>
      </c>
      <c r="H3" s="5">
        <v>25417</v>
      </c>
      <c r="I3">
        <f t="shared" ref="I3:I21" si="0">C3-E3</f>
        <v>15110855000</v>
      </c>
      <c r="J3">
        <f t="shared" ref="J3:J10" si="1">ROUND(D3*C3/(E3+C3),0)</f>
        <v>25417</v>
      </c>
    </row>
    <row r="4" spans="1:10">
      <c r="A4" s="1">
        <v>21039090</v>
      </c>
      <c r="B4" s="13"/>
      <c r="C4" s="5">
        <v>14719378000</v>
      </c>
      <c r="D4" s="5">
        <v>21528</v>
      </c>
      <c r="E4" s="8">
        <v>1706979349</v>
      </c>
      <c r="F4" s="8"/>
      <c r="G4" s="8"/>
      <c r="H4" s="5">
        <v>21528</v>
      </c>
      <c r="I4">
        <f t="shared" si="0"/>
        <v>13012398651</v>
      </c>
      <c r="J4">
        <f t="shared" si="1"/>
        <v>19291</v>
      </c>
    </row>
    <row r="5" spans="1:10">
      <c r="A5" s="1">
        <v>21069099</v>
      </c>
      <c r="B5" s="13">
        <v>25</v>
      </c>
      <c r="C5" s="5">
        <v>16524968000</v>
      </c>
      <c r="D5" s="5">
        <v>43111</v>
      </c>
      <c r="E5">
        <f>(6325182071-51600490-37922428-956136-21699691-166683944-147516610)/25</f>
        <v>235952110.88</v>
      </c>
      <c r="H5" s="5">
        <v>43111</v>
      </c>
      <c r="I5">
        <f t="shared" si="0"/>
        <v>16289015889.120001</v>
      </c>
      <c r="J5">
        <f t="shared" si="1"/>
        <v>42504</v>
      </c>
    </row>
    <row r="6" spans="1:10">
      <c r="A6" s="1">
        <v>22021000</v>
      </c>
      <c r="B6" s="13"/>
      <c r="C6" s="5">
        <f>4047907*1000</f>
        <v>4047907000</v>
      </c>
      <c r="D6" s="5">
        <v>46538</v>
      </c>
      <c r="E6">
        <f>114702359+214244858+339395753</f>
        <v>668342970</v>
      </c>
      <c r="G6">
        <v>1334734431</v>
      </c>
      <c r="H6" s="5">
        <f>82209*0.891</f>
        <v>73248.218999999997</v>
      </c>
      <c r="I6">
        <f>E6*C6/G6</f>
        <v>2026912712.9933085</v>
      </c>
      <c r="J6">
        <f>ROUND(D6*E6/G6,0)</f>
        <v>23303</v>
      </c>
    </row>
    <row r="7" spans="1:10">
      <c r="A7" s="1">
        <v>27090010</v>
      </c>
      <c r="B7" s="13"/>
      <c r="C7">
        <v>11698020670.317438</v>
      </c>
      <c r="D7">
        <v>4900</v>
      </c>
      <c r="E7">
        <v>710740239</v>
      </c>
      <c r="H7">
        <v>4900</v>
      </c>
      <c r="I7">
        <f>C7</f>
        <v>11698020670.317438</v>
      </c>
      <c r="J7">
        <f>D7</f>
        <v>4900</v>
      </c>
    </row>
    <row r="8" spans="1:10">
      <c r="A8" s="1">
        <v>27090020</v>
      </c>
      <c r="B8" s="13"/>
      <c r="C8">
        <v>243961660643.68256</v>
      </c>
      <c r="D8">
        <v>76000</v>
      </c>
      <c r="E8">
        <v>113831269537</v>
      </c>
      <c r="H8">
        <v>76000</v>
      </c>
      <c r="I8">
        <f>C8</f>
        <v>243961660643.68256</v>
      </c>
      <c r="J8">
        <f>D8</f>
        <v>76000</v>
      </c>
    </row>
    <row r="9" spans="1:10" ht="15">
      <c r="A9" s="1">
        <v>29051120</v>
      </c>
      <c r="B9" s="13">
        <v>2</v>
      </c>
      <c r="C9" s="6">
        <v>3916800000</v>
      </c>
      <c r="D9" s="2">
        <v>1676</v>
      </c>
      <c r="E9" s="11">
        <f>986510540/2</f>
        <v>493255270</v>
      </c>
      <c r="F9" s="11"/>
      <c r="G9" s="11"/>
      <c r="H9" s="2">
        <v>1676</v>
      </c>
      <c r="I9">
        <f t="shared" si="0"/>
        <v>3423544730</v>
      </c>
      <c r="J9">
        <f t="shared" si="1"/>
        <v>1489</v>
      </c>
    </row>
    <row r="10" spans="1:10" ht="14.4" thickBot="1">
      <c r="A10" s="1">
        <v>39031100</v>
      </c>
      <c r="B10" s="13"/>
      <c r="C10" s="7">
        <v>1500000000</v>
      </c>
      <c r="D10" s="2">
        <v>814</v>
      </c>
      <c r="E10" s="8">
        <v>160408619</v>
      </c>
      <c r="F10" s="8"/>
      <c r="G10" s="8"/>
      <c r="H10" s="2">
        <v>814</v>
      </c>
      <c r="I10">
        <f t="shared" si="0"/>
        <v>1339591381</v>
      </c>
      <c r="J10">
        <f t="shared" si="1"/>
        <v>735</v>
      </c>
    </row>
    <row r="11" spans="1:10">
      <c r="A11" s="3" t="s">
        <v>3</v>
      </c>
      <c r="B11" s="14" t="s">
        <v>17</v>
      </c>
      <c r="C11" s="5">
        <v>89235884</v>
      </c>
      <c r="D11" s="4">
        <v>253</v>
      </c>
      <c r="E11" s="15">
        <f>19666860/B11</f>
        <v>6555620</v>
      </c>
      <c r="F11" s="15">
        <v>8640515</v>
      </c>
      <c r="G11" s="15"/>
      <c r="H11" s="8">
        <f>ROUND(D11+0.5*D11*(E11-F11)/F11+0.5*D11*$B$23,0)</f>
        <v>208</v>
      </c>
      <c r="I11">
        <f t="shared" si="0"/>
        <v>82680264</v>
      </c>
      <c r="J11" s="8">
        <f>H11</f>
        <v>208</v>
      </c>
    </row>
    <row r="12" spans="1:10">
      <c r="A12" s="3" t="s">
        <v>15</v>
      </c>
      <c r="B12" s="14" t="s">
        <v>18</v>
      </c>
      <c r="C12" s="12">
        <v>38834524.417500004</v>
      </c>
      <c r="D12" s="18">
        <f>$B$24*E12/$B$25</f>
        <v>775.87555766615492</v>
      </c>
      <c r="E12">
        <f>26275998/2</f>
        <v>13137999</v>
      </c>
      <c r="F12">
        <v>27516119</v>
      </c>
      <c r="H12" s="8">
        <f>ROUND(D12,0)</f>
        <v>776</v>
      </c>
      <c r="I12">
        <f t="shared" si="0"/>
        <v>25696525.417500004</v>
      </c>
      <c r="J12">
        <f>ROUND(D12*C12/(E12+C12),0)</f>
        <v>580</v>
      </c>
    </row>
    <row r="13" spans="1:10">
      <c r="A13" s="3" t="s">
        <v>4</v>
      </c>
      <c r="B13" s="14"/>
      <c r="C13" s="5">
        <v>414865245</v>
      </c>
      <c r="D13" s="4">
        <v>1773</v>
      </c>
      <c r="E13">
        <v>359711084</v>
      </c>
      <c r="F13">
        <v>546517430</v>
      </c>
      <c r="H13" s="8">
        <f t="shared" ref="H13:H20" si="2">ROUND(D13+0.5*D13*(E13-F13)/F13+0.5*D13*$B$23,0)</f>
        <v>1365</v>
      </c>
      <c r="I13">
        <f t="shared" si="0"/>
        <v>55154161</v>
      </c>
      <c r="J13" s="8">
        <f>H13</f>
        <v>1365</v>
      </c>
    </row>
    <row r="14" spans="1:10">
      <c r="A14" s="3" t="s">
        <v>5</v>
      </c>
      <c r="B14" s="14"/>
      <c r="C14" s="5">
        <v>95070098</v>
      </c>
      <c r="D14" s="4">
        <v>499</v>
      </c>
      <c r="E14">
        <f>7705003+167631+74564+1226358+5812496+688355+6804+1097624</f>
        <v>16778835</v>
      </c>
      <c r="F14">
        <v>58964883</v>
      </c>
      <c r="H14" s="8">
        <f t="shared" si="2"/>
        <v>291</v>
      </c>
      <c r="I14">
        <f t="shared" si="0"/>
        <v>78291263</v>
      </c>
      <c r="J14" s="8">
        <f t="shared" ref="J14:J20" si="3">H14</f>
        <v>291</v>
      </c>
    </row>
    <row r="15" spans="1:10">
      <c r="A15" s="3" t="s">
        <v>6</v>
      </c>
      <c r="B15" s="14"/>
      <c r="C15" s="5">
        <v>377194361</v>
      </c>
      <c r="D15" s="4">
        <v>1946</v>
      </c>
      <c r="E15">
        <v>124087961</v>
      </c>
      <c r="F15">
        <v>201005378</v>
      </c>
      <c r="H15" s="8">
        <f t="shared" si="2"/>
        <v>1459</v>
      </c>
      <c r="I15">
        <f t="shared" si="0"/>
        <v>253106400</v>
      </c>
      <c r="J15" s="8">
        <f t="shared" si="3"/>
        <v>1459</v>
      </c>
    </row>
    <row r="16" spans="1:10">
      <c r="A16" s="3" t="s">
        <v>7</v>
      </c>
      <c r="B16" s="14"/>
      <c r="C16" s="5">
        <v>239837873</v>
      </c>
      <c r="D16" s="4">
        <v>1222</v>
      </c>
      <c r="E16">
        <v>77331266</v>
      </c>
      <c r="F16">
        <v>82467177</v>
      </c>
      <c r="H16" s="8">
        <f t="shared" si="2"/>
        <v>1112</v>
      </c>
      <c r="I16">
        <f t="shared" si="0"/>
        <v>162506607</v>
      </c>
      <c r="J16" s="8">
        <f t="shared" si="3"/>
        <v>1112</v>
      </c>
    </row>
    <row r="17" spans="1:10">
      <c r="A17" s="3" t="s">
        <v>8</v>
      </c>
      <c r="B17" s="14" t="s">
        <v>20</v>
      </c>
      <c r="C17" s="5">
        <v>88735923</v>
      </c>
      <c r="D17" s="4">
        <v>759</v>
      </c>
      <c r="E17">
        <f>45785127/13</f>
        <v>3521932.846153846</v>
      </c>
      <c r="F17">
        <f>38795773/13</f>
        <v>2984290.230769231</v>
      </c>
      <c r="H17" s="8">
        <f t="shared" si="2"/>
        <v>783</v>
      </c>
      <c r="I17">
        <f t="shared" si="0"/>
        <v>85213990.15384616</v>
      </c>
      <c r="J17" s="8">
        <f t="shared" si="3"/>
        <v>783</v>
      </c>
    </row>
    <row r="18" spans="1:10">
      <c r="A18" s="3" t="s">
        <v>9</v>
      </c>
      <c r="B18" s="14" t="s">
        <v>19</v>
      </c>
      <c r="C18" s="5">
        <v>56856446</v>
      </c>
      <c r="D18" s="4">
        <v>131</v>
      </c>
      <c r="E18">
        <f>18427485/13</f>
        <v>1417498.8461538462</v>
      </c>
      <c r="F18">
        <f>17823891/13</f>
        <v>1371068.5384615385</v>
      </c>
      <c r="H18" s="8">
        <f t="shared" si="2"/>
        <v>125</v>
      </c>
      <c r="I18">
        <f t="shared" si="0"/>
        <v>55438947.153846152</v>
      </c>
      <c r="J18" s="8">
        <f t="shared" si="3"/>
        <v>125</v>
      </c>
    </row>
    <row r="19" spans="1:10">
      <c r="A19" s="3" t="s">
        <v>10</v>
      </c>
      <c r="B19" s="14"/>
      <c r="C19" s="5">
        <v>39638416</v>
      </c>
      <c r="D19" s="4">
        <v>309</v>
      </c>
      <c r="E19">
        <f>7111576+12408818</f>
        <v>19520394</v>
      </c>
      <c r="F19">
        <v>14770767</v>
      </c>
      <c r="H19" s="8">
        <f t="shared" si="2"/>
        <v>340</v>
      </c>
      <c r="I19">
        <f t="shared" si="0"/>
        <v>20118022</v>
      </c>
      <c r="J19" s="8">
        <f t="shared" si="3"/>
        <v>340</v>
      </c>
    </row>
    <row r="20" spans="1:10">
      <c r="A20" s="3" t="s">
        <v>11</v>
      </c>
      <c r="B20" s="14" t="s">
        <v>18</v>
      </c>
      <c r="C20" s="5">
        <v>38584367</v>
      </c>
      <c r="D20" s="4">
        <v>107</v>
      </c>
      <c r="E20" s="9">
        <f>34878195/2</f>
        <v>17439097.5</v>
      </c>
      <c r="F20" s="9">
        <v>26649225.5</v>
      </c>
      <c r="G20" s="9"/>
      <c r="H20" s="8">
        <f t="shared" si="2"/>
        <v>82</v>
      </c>
      <c r="I20">
        <f t="shared" si="0"/>
        <v>21145269.5</v>
      </c>
      <c r="J20" s="8">
        <f t="shared" si="3"/>
        <v>82</v>
      </c>
    </row>
    <row r="21" spans="1:10">
      <c r="A21">
        <v>65050080</v>
      </c>
      <c r="C21" s="5">
        <v>55559319</v>
      </c>
      <c r="D21">
        <v>539</v>
      </c>
      <c r="E21" s="8">
        <v>1139094</v>
      </c>
      <c r="F21" s="8">
        <v>2065242</v>
      </c>
      <c r="G21" s="8"/>
      <c r="H21" s="8">
        <f>539</f>
        <v>539</v>
      </c>
      <c r="I21">
        <f t="shared" si="0"/>
        <v>54420225</v>
      </c>
      <c r="J21">
        <f>ROUND(D21*C21/(E21+C21),0)</f>
        <v>528</v>
      </c>
    </row>
    <row r="22" spans="1:10">
      <c r="B22">
        <f>45785127-17868860-270067-15188886-12457314</f>
        <v>0</v>
      </c>
    </row>
    <row r="23" spans="1:10" ht="14.4">
      <c r="A23" s="17" t="s">
        <v>24</v>
      </c>
      <c r="B23" s="16">
        <v>-0.118057124</v>
      </c>
      <c r="C23">
        <f>2174.1*10^6</f>
        <v>2174100000</v>
      </c>
      <c r="D23" s="9">
        <v>2880</v>
      </c>
      <c r="E23" s="9">
        <f>E2</f>
        <v>123980206</v>
      </c>
      <c r="F23">
        <v>161061101</v>
      </c>
      <c r="I23">
        <f>C23+C23*(E23-F23)/F23</f>
        <v>1673559687.5411897</v>
      </c>
    </row>
    <row r="24" spans="1:10">
      <c r="A24" s="17" t="s">
        <v>22</v>
      </c>
      <c r="B24">
        <v>149980</v>
      </c>
      <c r="C24">
        <f>1145.1*10^6</f>
        <v>1145100000</v>
      </c>
      <c r="E24" s="19">
        <v>92596310</v>
      </c>
      <c r="F24">
        <v>80876709</v>
      </c>
      <c r="I24">
        <f>C24+C24*(E24-F24)/F24</f>
        <v>1311033001.8621306</v>
      </c>
    </row>
    <row r="25" spans="1:10">
      <c r="A25" s="17" t="s">
        <v>25</v>
      </c>
      <c r="B25">
        <v>2539630319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H10" sqref="H10"/>
    </sheetView>
  </sheetViews>
  <sheetFormatPr defaultRowHeight="13.8"/>
  <cols>
    <col min="2" max="2" width="10.8984375" bestFit="1" customWidth="1"/>
    <col min="4" max="4" width="9.8984375" bestFit="1" customWidth="1"/>
    <col min="5" max="5" width="12.19921875" bestFit="1" customWidth="1"/>
    <col min="6" max="6" width="10.8984375" bestFit="1" customWidth="1"/>
  </cols>
  <sheetData>
    <row r="1" spans="1:11">
      <c r="A1" t="s">
        <v>0</v>
      </c>
      <c r="B1" t="s">
        <v>1</v>
      </c>
      <c r="C1" t="s">
        <v>2</v>
      </c>
      <c r="D1" t="s">
        <v>12</v>
      </c>
      <c r="E1" t="s">
        <v>30</v>
      </c>
      <c r="F1" t="s">
        <v>31</v>
      </c>
      <c r="G1" t="s">
        <v>32</v>
      </c>
      <c r="H1" t="s">
        <v>13</v>
      </c>
      <c r="I1" t="s">
        <v>14</v>
      </c>
      <c r="K1" t="s">
        <v>33</v>
      </c>
    </row>
    <row r="2" spans="1:11">
      <c r="A2" s="10">
        <v>20089991</v>
      </c>
      <c r="B2" s="10">
        <v>27392979000</v>
      </c>
      <c r="C2">
        <v>35921</v>
      </c>
      <c r="D2">
        <v>123980206</v>
      </c>
      <c r="E2">
        <v>114930670</v>
      </c>
      <c r="F2">
        <v>55694</v>
      </c>
      <c r="G2">
        <v>55055.888890000002</v>
      </c>
      <c r="H2">
        <v>26551993480</v>
      </c>
      <c r="I2">
        <f>ROUND(C2+C2*0.5*(E2-D2)/E2+C2*0.5*(F2-G2)/G2,0)</f>
        <v>34715</v>
      </c>
      <c r="K2">
        <v>311421</v>
      </c>
    </row>
    <row r="3" spans="1:11">
      <c r="A3" s="1">
        <v>21039080</v>
      </c>
      <c r="B3" s="13">
        <v>15110855000</v>
      </c>
      <c r="C3">
        <v>25417</v>
      </c>
      <c r="D3">
        <v>0</v>
      </c>
      <c r="E3">
        <v>0</v>
      </c>
      <c r="F3">
        <v>27981</v>
      </c>
      <c r="G3">
        <v>28807</v>
      </c>
      <c r="H3">
        <v>14894213798</v>
      </c>
      <c r="I3">
        <f>ROUND(C3+C3*0.5*(F3-G3)/G3,0)</f>
        <v>25053</v>
      </c>
      <c r="K3">
        <v>311942</v>
      </c>
    </row>
    <row r="4" spans="1:11">
      <c r="A4" s="1">
        <v>21039090</v>
      </c>
      <c r="B4" s="13">
        <v>14719378000</v>
      </c>
      <c r="C4">
        <v>21528</v>
      </c>
      <c r="D4">
        <v>1706979349</v>
      </c>
      <c r="E4">
        <v>1662095024</v>
      </c>
      <c r="F4">
        <v>21528</v>
      </c>
      <c r="G4">
        <v>20981.77778</v>
      </c>
      <c r="H4">
        <v>14717454030</v>
      </c>
      <c r="I4">
        <f t="shared" ref="I4:I21" si="0">ROUND(C4+C4*0.5*(E4-D4)/E4+C4*0.5*(F4-G4)/G4,0)</f>
        <v>21518</v>
      </c>
      <c r="K4">
        <v>311941</v>
      </c>
    </row>
    <row r="5" spans="1:11">
      <c r="A5" s="1">
        <v>21069099</v>
      </c>
      <c r="B5" s="13">
        <v>16524968000</v>
      </c>
      <c r="C5">
        <v>43111</v>
      </c>
      <c r="D5">
        <v>235952110.90000001</v>
      </c>
      <c r="E5">
        <v>226934746</v>
      </c>
      <c r="F5">
        <v>43111</v>
      </c>
      <c r="G5">
        <v>43212.777779999997</v>
      </c>
      <c r="H5">
        <v>16189740859</v>
      </c>
      <c r="I5">
        <f t="shared" si="0"/>
        <v>42204</v>
      </c>
      <c r="K5">
        <v>311999</v>
      </c>
    </row>
    <row r="6" spans="1:11">
      <c r="A6" s="1">
        <v>22021000</v>
      </c>
      <c r="B6" s="13">
        <v>4047907000</v>
      </c>
      <c r="C6">
        <v>46538</v>
      </c>
      <c r="D6">
        <v>668342970</v>
      </c>
      <c r="E6">
        <v>604211986</v>
      </c>
      <c r="F6">
        <v>81127</v>
      </c>
      <c r="G6">
        <v>82208.888890000002</v>
      </c>
      <c r="H6">
        <v>3827062417</v>
      </c>
      <c r="I6">
        <f t="shared" si="0"/>
        <v>43762</v>
      </c>
      <c r="K6">
        <v>312111</v>
      </c>
    </row>
    <row r="7" spans="1:11">
      <c r="A7" s="1">
        <v>27090010</v>
      </c>
      <c r="B7" s="13">
        <v>11698020670</v>
      </c>
      <c r="C7">
        <v>4900</v>
      </c>
      <c r="D7">
        <v>710740239</v>
      </c>
      <c r="E7">
        <v>1199358758</v>
      </c>
      <c r="F7">
        <v>83522</v>
      </c>
      <c r="G7">
        <v>83913.444440000007</v>
      </c>
      <c r="H7">
        <v>15691803768</v>
      </c>
      <c r="I7">
        <f t="shared" si="0"/>
        <v>5887</v>
      </c>
      <c r="K7">
        <v>211120</v>
      </c>
    </row>
    <row r="8" spans="1:11">
      <c r="A8" s="1">
        <v>27090020</v>
      </c>
      <c r="B8" s="20">
        <v>243962000000</v>
      </c>
      <c r="C8">
        <v>76000</v>
      </c>
      <c r="D8" s="21">
        <v>113831000000</v>
      </c>
      <c r="E8" s="21">
        <v>110571000000</v>
      </c>
      <c r="F8">
        <v>115505</v>
      </c>
      <c r="G8">
        <v>121735.11109999999</v>
      </c>
      <c r="H8" s="21">
        <v>234225000000</v>
      </c>
      <c r="I8">
        <f t="shared" si="0"/>
        <v>72935</v>
      </c>
      <c r="K8" t="s">
        <v>34</v>
      </c>
    </row>
    <row r="9" spans="1:11">
      <c r="A9" s="1">
        <v>29051120</v>
      </c>
      <c r="B9" s="13">
        <v>3916800000</v>
      </c>
      <c r="C9">
        <v>1676</v>
      </c>
      <c r="D9">
        <v>493255270</v>
      </c>
      <c r="E9">
        <v>907238562</v>
      </c>
      <c r="F9">
        <v>42178</v>
      </c>
      <c r="G9">
        <v>41822.555560000001</v>
      </c>
      <c r="H9">
        <v>5577106055</v>
      </c>
      <c r="I9">
        <f t="shared" si="0"/>
        <v>2066</v>
      </c>
      <c r="K9">
        <v>325199</v>
      </c>
    </row>
    <row r="10" spans="1:11">
      <c r="A10" s="1">
        <v>39031100</v>
      </c>
      <c r="B10" s="13">
        <v>1500000000</v>
      </c>
      <c r="C10">
        <v>814</v>
      </c>
      <c r="D10">
        <v>160408619</v>
      </c>
      <c r="E10">
        <v>142023981</v>
      </c>
      <c r="F10">
        <v>60882</v>
      </c>
      <c r="G10">
        <v>61223.555560000001</v>
      </c>
      <c r="H10">
        <v>1409857417</v>
      </c>
      <c r="I10">
        <f t="shared" si="0"/>
        <v>759</v>
      </c>
      <c r="K10">
        <v>325211</v>
      </c>
    </row>
    <row r="11" spans="1:11">
      <c r="A11" s="3" t="s">
        <v>3</v>
      </c>
      <c r="B11" s="14" t="s">
        <v>35</v>
      </c>
      <c r="C11">
        <v>253</v>
      </c>
      <c r="D11" s="4">
        <v>6555620</v>
      </c>
      <c r="E11" s="15" t="s">
        <v>36</v>
      </c>
      <c r="F11" s="15" t="s">
        <v>37</v>
      </c>
      <c r="G11">
        <v>70285.555559999993</v>
      </c>
      <c r="H11" s="8">
        <v>102669474</v>
      </c>
      <c r="I11">
        <f t="shared" si="0"/>
        <v>286</v>
      </c>
      <c r="K11" t="s">
        <v>38</v>
      </c>
    </row>
    <row r="12" spans="1:11">
      <c r="A12" s="3" t="s">
        <v>15</v>
      </c>
      <c r="B12" s="14" t="s">
        <v>39</v>
      </c>
      <c r="C12">
        <v>775.87555769999994</v>
      </c>
      <c r="D12" s="15" t="s">
        <v>40</v>
      </c>
      <c r="E12" s="15" t="s">
        <v>41</v>
      </c>
      <c r="F12">
        <v>75332</v>
      </c>
      <c r="G12">
        <v>70285.555559999993</v>
      </c>
      <c r="H12" s="8">
        <v>39114337</v>
      </c>
      <c r="I12">
        <f t="shared" si="0"/>
        <v>780</v>
      </c>
    </row>
    <row r="13" spans="1:11">
      <c r="A13" s="3" t="s">
        <v>4</v>
      </c>
      <c r="B13" s="14" t="s">
        <v>42</v>
      </c>
      <c r="C13">
        <v>1773</v>
      </c>
      <c r="D13" s="4">
        <v>359711084</v>
      </c>
      <c r="E13">
        <v>388380218</v>
      </c>
      <c r="F13">
        <v>75332</v>
      </c>
      <c r="G13">
        <v>70285.555559999993</v>
      </c>
      <c r="H13" s="8">
        <v>446291207</v>
      </c>
      <c r="I13">
        <f t="shared" si="0"/>
        <v>1902</v>
      </c>
    </row>
    <row r="14" spans="1:11">
      <c r="A14" s="3" t="s">
        <v>5</v>
      </c>
      <c r="B14" s="14" t="s">
        <v>43</v>
      </c>
      <c r="C14">
        <v>499</v>
      </c>
      <c r="D14" s="4">
        <v>16778835</v>
      </c>
      <c r="E14">
        <v>58244891</v>
      </c>
      <c r="F14">
        <v>75332</v>
      </c>
      <c r="G14">
        <v>70285.555559999993</v>
      </c>
      <c r="H14" s="8">
        <v>215957918</v>
      </c>
      <c r="I14">
        <f t="shared" si="0"/>
        <v>695</v>
      </c>
    </row>
    <row r="15" spans="1:11">
      <c r="A15" s="3" t="s">
        <v>6</v>
      </c>
      <c r="B15" s="14" t="s">
        <v>44</v>
      </c>
      <c r="C15">
        <v>1946</v>
      </c>
      <c r="D15" s="4">
        <v>124087961</v>
      </c>
      <c r="E15">
        <v>110688091</v>
      </c>
      <c r="F15">
        <v>75332</v>
      </c>
      <c r="G15">
        <v>70285.555559999993</v>
      </c>
      <c r="H15" s="8">
        <v>370369463</v>
      </c>
      <c r="I15">
        <f t="shared" si="0"/>
        <v>1898</v>
      </c>
    </row>
    <row r="16" spans="1:11">
      <c r="A16" s="3" t="s">
        <v>7</v>
      </c>
      <c r="B16" s="14" t="s">
        <v>45</v>
      </c>
      <c r="C16">
        <v>1222</v>
      </c>
      <c r="D16" s="4">
        <v>77331266</v>
      </c>
      <c r="E16">
        <v>80616572</v>
      </c>
      <c r="F16">
        <v>75332</v>
      </c>
      <c r="G16">
        <v>70285.555559999993</v>
      </c>
      <c r="H16" s="8">
        <v>253542534</v>
      </c>
      <c r="I16">
        <f t="shared" si="0"/>
        <v>1291</v>
      </c>
    </row>
    <row r="17" spans="1:9">
      <c r="A17" s="3" t="s">
        <v>8</v>
      </c>
      <c r="B17" s="14" t="s">
        <v>46</v>
      </c>
      <c r="C17">
        <v>759</v>
      </c>
      <c r="D17" s="4">
        <v>3521932.8459999999</v>
      </c>
      <c r="E17">
        <v>3020851.8459999999</v>
      </c>
      <c r="F17">
        <v>75332</v>
      </c>
      <c r="G17">
        <v>70285.555559999993</v>
      </c>
      <c r="H17" s="8">
        <v>85609079</v>
      </c>
      <c r="I17">
        <f t="shared" si="0"/>
        <v>723</v>
      </c>
    </row>
    <row r="18" spans="1:9">
      <c r="A18" s="3" t="s">
        <v>9</v>
      </c>
      <c r="B18" s="14" t="s">
        <v>47</v>
      </c>
      <c r="C18">
        <v>131</v>
      </c>
      <c r="D18" s="4">
        <v>1417498.8459999999</v>
      </c>
      <c r="E18" s="15" t="s">
        <v>48</v>
      </c>
      <c r="F18">
        <v>75332</v>
      </c>
      <c r="G18">
        <v>70285.555559999993</v>
      </c>
      <c r="H18" s="8">
        <v>62941461</v>
      </c>
      <c r="I18">
        <f t="shared" si="0"/>
        <v>144</v>
      </c>
    </row>
    <row r="19" spans="1:9">
      <c r="A19" s="3" t="s">
        <v>10</v>
      </c>
      <c r="B19" s="14" t="s">
        <v>49</v>
      </c>
      <c r="C19">
        <v>309</v>
      </c>
      <c r="D19" s="4">
        <v>19520394</v>
      </c>
      <c r="E19">
        <v>17429173</v>
      </c>
      <c r="F19">
        <v>75332</v>
      </c>
      <c r="G19">
        <v>70285.555559999993</v>
      </c>
      <c r="H19" s="8">
        <v>38938186</v>
      </c>
      <c r="I19">
        <f t="shared" si="0"/>
        <v>302</v>
      </c>
    </row>
    <row r="20" spans="1:9">
      <c r="A20" s="3" t="s">
        <v>11</v>
      </c>
      <c r="B20" s="14" t="s">
        <v>50</v>
      </c>
      <c r="C20">
        <v>107</v>
      </c>
      <c r="D20" s="4">
        <v>17439097.5</v>
      </c>
      <c r="E20">
        <v>24996732.5</v>
      </c>
      <c r="F20" s="9">
        <v>75332</v>
      </c>
      <c r="G20">
        <v>70285.555559999993</v>
      </c>
      <c r="H20" s="8">
        <v>48330242</v>
      </c>
      <c r="I20">
        <f t="shared" si="0"/>
        <v>127</v>
      </c>
    </row>
    <row r="21" spans="1:9">
      <c r="A21">
        <v>65050080</v>
      </c>
      <c r="B21">
        <v>55559319</v>
      </c>
      <c r="C21">
        <v>539</v>
      </c>
      <c r="D21">
        <v>1139094</v>
      </c>
      <c r="E21">
        <v>2123714</v>
      </c>
      <c r="F21" s="8">
        <v>12981</v>
      </c>
      <c r="G21">
        <v>12300</v>
      </c>
      <c r="H21" s="8">
        <v>81109788</v>
      </c>
      <c r="I21">
        <f t="shared" si="0"/>
        <v>679</v>
      </c>
    </row>
    <row r="23" spans="1:9">
      <c r="A23" s="17"/>
      <c r="C23">
        <v>5.5365853999999999E-2</v>
      </c>
    </row>
    <row r="24" spans="1:9">
      <c r="A24" s="17"/>
      <c r="B24" t="s">
        <v>28</v>
      </c>
      <c r="C24">
        <v>12981</v>
      </c>
      <c r="D24">
        <v>1139094</v>
      </c>
      <c r="E24" s="8"/>
    </row>
    <row r="25" spans="1:9">
      <c r="A25" s="17"/>
      <c r="B25" t="s">
        <v>29</v>
      </c>
      <c r="C25">
        <v>12300</v>
      </c>
    </row>
    <row r="26" spans="1:9">
      <c r="A26" s="17" t="s">
        <v>27</v>
      </c>
      <c r="B26">
        <v>2513261309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F78E99B4273C40BD063C98C019907B" ma:contentTypeVersion="4" ma:contentTypeDescription="Create a new document." ma:contentTypeScope="" ma:versionID="7ec3bb65b004bd03e6c57fc9e971e43b">
  <xsd:schema xmlns:xsd="http://www.w3.org/2001/XMLSchema" xmlns:xs="http://www.w3.org/2001/XMLSchema" xmlns:p="http://schemas.microsoft.com/office/2006/metadata/properties" xmlns:ns2="1a249b18-91aa-4764-ad05-6cfe69eed5c8" targetNamespace="http://schemas.microsoft.com/office/2006/metadata/properties" ma:root="true" ma:fieldsID="4d8172f7c228a9c809e69689bb850b0c" ns2:_="">
    <xsd:import namespace="1a249b18-91aa-4764-ad05-6cfe69eed5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249b18-91aa-4764-ad05-6cfe69eed5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76F165-9283-4459-89BA-187454BEABA7}"/>
</file>

<file path=customXml/itemProps2.xml><?xml version="1.0" encoding="utf-8"?>
<ds:datastoreItem xmlns:ds="http://schemas.openxmlformats.org/officeDocument/2006/customXml" ds:itemID="{8FFAAF4E-C5D4-49EA-A285-CE92BA35F839}"/>
</file>

<file path=customXml/itemProps3.xml><?xml version="1.0" encoding="utf-8"?>
<ds:datastoreItem xmlns:ds="http://schemas.openxmlformats.org/officeDocument/2006/customXml" ds:itemID="{16E5E044-5BBF-49F8-8222-12755A5B9A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Paul</dc:creator>
  <cp:lastModifiedBy>Phillips, Paul</cp:lastModifiedBy>
  <dcterms:created xsi:type="dcterms:W3CDTF">2025-03-03T15:28:34Z</dcterms:created>
  <dcterms:modified xsi:type="dcterms:W3CDTF">2025-04-07T17:53:26Z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0x0101000AF78E99B4273C40BD063C98C019907B</vt:lpwstr>
  </property>
</Properties>
</file>